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2760" windowWidth="14760" windowHeight="11265" activeTab="0"/>
  </bookViews>
  <sheets>
    <sheet name="Leave Calculation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<sst xmlns="http://schemas.openxmlformats.org/spreadsheetml/2006/main" count="72" uniqueCount="47">
  <si>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Monday</t>
  </si>
  <si>
    <t>Tuesday</t>
  </si>
  <si>
    <t>Wednesday</t>
  </si>
  <si>
    <t>Thursday</t>
  </si>
  <si>
    <t>Friday</t>
  </si>
  <si>
    <t xml:space="preserve">to </t>
  </si>
  <si>
    <t>This sheet is used for:</t>
  </si>
  <si>
    <t>Proportion of Leave Year Worked:</t>
  </si>
  <si>
    <t>Yellow boxes require input - other values are calculated automatically - an example has been entered for guidance only</t>
  </si>
  <si>
    <t>Leave Year:</t>
  </si>
  <si>
    <t>Days Worked per Week:</t>
  </si>
  <si>
    <t>Date</t>
  </si>
  <si>
    <t>Type</t>
  </si>
  <si>
    <t>Closure Day</t>
  </si>
  <si>
    <t>Public Holiday</t>
  </si>
  <si>
    <t>Full year grossed up leave entitlement for this leave year (in days)</t>
  </si>
  <si>
    <t>Day of Week</t>
  </si>
  <si>
    <t>values in column E should NOT be the same for all days worked - otherwise you are using the wrong spreadsheet</t>
  </si>
  <si>
    <t>Full year grossed up leave entitlement for this leave year (in hours)</t>
  </si>
  <si>
    <t>Hours to be taken</t>
  </si>
  <si>
    <t>Public holidays and closure days (in hours) to be taken from leave entitlement:</t>
  </si>
  <si>
    <t>* NOT working the same hours each day</t>
  </si>
  <si>
    <t>Actual grossed up leave entitlement for this leave year (in hours)</t>
  </si>
  <si>
    <t>Although your terms and conditions of service do not specifiy a number of hours per week, in order to calculate your leave entitlement, we use a nominal 35 hour week and we ask you to assign your part time hours to the days you normally work. If you do not have a "normal" work pattern then please contact HR for guidance.</t>
  </si>
  <si>
    <t>(Nominal) Hours Worked per Week:</t>
  </si>
  <si>
    <t>TOTAL (nominal) hours worked per week</t>
  </si>
  <si>
    <t>Nominal hours per day</t>
  </si>
  <si>
    <t>Annual Leave Calculation Sheet</t>
  </si>
  <si>
    <t>Working pattern (assign your nominal hours appropriately to each day of the week)</t>
  </si>
  <si>
    <t>Last Date of Employment (if leaving employment during this leave year):</t>
  </si>
  <si>
    <t>(see below for list of public holidays and closure days to identify which are included)</t>
  </si>
  <si>
    <t>(both pro-rated for days worked per week)</t>
  </si>
  <si>
    <t>Staff in P&amp;M and A&amp;R  roles (grades 6 and above)</t>
  </si>
  <si>
    <t>(i.e. Directed leave)</t>
  </si>
  <si>
    <t>Name:</t>
  </si>
  <si>
    <t>Start Date of Employment (if starting employment during this leave year):</t>
  </si>
  <si>
    <t>Actual annual leave entitlement for this leave year (in hours):</t>
  </si>
  <si>
    <t>(i.e. Discretionary leave)</t>
  </si>
  <si>
    <t>Due to work (1 = yes)</t>
  </si>
  <si>
    <t>Proportion of week worked</t>
  </si>
  <si>
    <t>Grossed Up Leave Entitlement includes annual leave (26), public holiday (8) and closure day (6) entitlement</t>
  </si>
  <si>
    <t>This must be agreed in advance with your line manager.</t>
  </si>
  <si>
    <t>Closure Day*</t>
  </si>
  <si>
    <t xml:space="preserve">can either take the Closure Day on this date or take leave on an alternative date.  </t>
  </si>
  <si>
    <t>2023/24</t>
  </si>
  <si>
    <t>Public Holidays &amp; Closure Days - Leave year 1 Oct 2023 - 30 Sept 2024</t>
  </si>
  <si>
    <t xml:space="preserve">* As Greenlands campus remains open on 28 March &amp; 2 April 2024, staff at Greenlands (who usually work on this day)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</si>
</sst>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[$-F800]dddd\,\ mmmm\ dd\,\ yyyy"/>
    <numFmt numFmtId="176" formatCode="[$-809]dd\ mmmm\ yyyy"/>
    <numFmt numFmtId="177" formatCode="mmm\-yyyy"/>
    <numFmt numFmtId="178" formatCode="0.00000000"/>
    <numFmt numFmtId="179" formatCode="0.000000000"/>
    <numFmt numFmtId="180" formatCode="0.0000000000"/>
    <numFmt numFmtId="181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Rdg Vesta"/>
      <family val="0"/>
    </font>
    <font>
      <sz val="8"/>
      <name val="Rdg Vesta"/>
      <family val="0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9"/>
      <color indexed="10"/>
      <name val="Rdg Vest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wrapText="1"/>
      <protection/>
    </xf>
    <xf numFmtId="17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31">
      <selection activeCell="B12" sqref="B12:E12"/>
    </sheetView>
  </sheetViews>
  <sheetFormatPr defaultColWidth="9.140625" defaultRowHeight="15.75" customHeight="1"/>
  <cols>
    <col min="1" max="1" width="35.421875" style="3" customWidth="1"/>
    <col min="2" max="3" width="15.7109375" style="3" customWidth="1"/>
    <col min="4" max="4" width="15.00390625" style="3" customWidth="1"/>
    <col min="5" max="5" width="15.7109375" style="3" customWidth="1"/>
    <col min="6" max="6" width="25.7109375" style="3" customWidth="1"/>
    <col min="7" max="7" width="19.7109375" style="3" customWidth="1"/>
    <col min="8" max="16384" width="9.140625" style="3" customWidth="1"/>
  </cols>
  <sheetData>
    <row r="1" spans="1:6" ht="15.75" customHeight="1">
      <c r="A1" s="25" t="s">
        <v>27</v>
      </c>
      <c r="F1" s="30" t="s">
        <v>44</v>
      </c>
    </row>
    <row r="3" spans="1:5" s="2" customFormat="1" ht="15.75" customHeight="1">
      <c r="A3" s="9" t="s">
        <v>6</v>
      </c>
      <c r="B3" s="9" t="s">
        <v>32</v>
      </c>
      <c r="C3" s="9"/>
      <c r="D3" s="9"/>
      <c r="E3" s="9"/>
    </row>
    <row r="4" spans="1:5" s="2" customFormat="1" ht="15.75" customHeight="1">
      <c r="A4" s="9"/>
      <c r="B4" s="9"/>
      <c r="C4" s="9"/>
      <c r="D4" s="9"/>
      <c r="E4" s="9"/>
    </row>
    <row r="5" spans="1:5" ht="15.75" customHeight="1">
      <c r="A5" s="24"/>
      <c r="B5" s="9" t="s">
        <v>21</v>
      </c>
      <c r="C5" s="24"/>
      <c r="D5" s="24"/>
      <c r="E5" s="24"/>
    </row>
    <row r="6" spans="1:5" ht="15.75" customHeight="1">
      <c r="A6" s="24"/>
      <c r="B6" s="9"/>
      <c r="C6" s="24"/>
      <c r="D6" s="24"/>
      <c r="E6" s="24"/>
    </row>
    <row r="8" spans="1:6" ht="65.25" customHeight="1">
      <c r="A8" s="57" t="s">
        <v>23</v>
      </c>
      <c r="B8" s="58"/>
      <c r="C8" s="58"/>
      <c r="D8" s="58"/>
      <c r="E8" s="58"/>
      <c r="F8" s="14"/>
    </row>
    <row r="10" spans="1:6" ht="33.75" customHeight="1">
      <c r="A10" s="59" t="s">
        <v>8</v>
      </c>
      <c r="B10" s="60"/>
      <c r="C10" s="60"/>
      <c r="D10" s="60"/>
      <c r="E10" s="61"/>
      <c r="F10" s="14"/>
    </row>
    <row r="12" spans="1:7" ht="15.75" customHeight="1">
      <c r="A12" s="3" t="s">
        <v>34</v>
      </c>
      <c r="B12" s="67"/>
      <c r="C12" s="68"/>
      <c r="D12" s="68"/>
      <c r="E12" s="69"/>
      <c r="F12" s="31"/>
      <c r="G12" s="31"/>
    </row>
    <row r="14" spans="1:4" ht="15.75" customHeight="1">
      <c r="A14" s="3" t="s">
        <v>9</v>
      </c>
      <c r="B14" s="32">
        <v>45200</v>
      </c>
      <c r="C14" s="8" t="s">
        <v>5</v>
      </c>
      <c r="D14" s="32">
        <v>45565</v>
      </c>
    </row>
    <row r="15" spans="1:4" ht="15.75" customHeight="1">
      <c r="A15" s="6"/>
      <c r="B15" s="7"/>
      <c r="C15" s="8"/>
      <c r="D15" s="7"/>
    </row>
    <row r="16" spans="1:4" ht="15.75" customHeight="1">
      <c r="A16" s="3" t="s">
        <v>10</v>
      </c>
      <c r="B16" s="36">
        <v>4</v>
      </c>
      <c r="C16" s="15"/>
      <c r="D16" s="9"/>
    </row>
    <row r="17" spans="2:4" ht="15.75" customHeight="1">
      <c r="B17" s="10"/>
      <c r="C17" s="9"/>
      <c r="D17" s="9"/>
    </row>
    <row r="18" spans="1:5" ht="15.75" customHeight="1">
      <c r="A18" s="3" t="s">
        <v>24</v>
      </c>
      <c r="B18" s="36">
        <v>21</v>
      </c>
      <c r="C18" s="26"/>
      <c r="D18" s="26"/>
      <c r="E18" s="27"/>
    </row>
    <row r="19" spans="2:5" ht="15.75" customHeight="1">
      <c r="B19" s="8"/>
      <c r="C19" s="26"/>
      <c r="D19" s="26"/>
      <c r="E19" s="27"/>
    </row>
    <row r="20" ht="15.75" customHeight="1">
      <c r="B20" s="5"/>
    </row>
    <row r="21" spans="1:6" ht="36" customHeight="1">
      <c r="A21" s="62" t="s">
        <v>28</v>
      </c>
      <c r="B21" s="63"/>
      <c r="C21" s="63"/>
      <c r="D21" s="64"/>
      <c r="E21" s="17" t="s">
        <v>26</v>
      </c>
      <c r="F21" s="1"/>
    </row>
    <row r="22" spans="1:6" ht="15.75" customHeight="1">
      <c r="A22" s="65" t="s">
        <v>0</v>
      </c>
      <c r="B22" s="66"/>
      <c r="C22" s="66"/>
      <c r="D22" s="66"/>
      <c r="E22" s="37">
        <v>7</v>
      </c>
      <c r="F22" s="55" t="s">
        <v>17</v>
      </c>
    </row>
    <row r="23" spans="1:6" ht="15.75" customHeight="1">
      <c r="A23" s="52" t="s">
        <v>1</v>
      </c>
      <c r="B23" s="53"/>
      <c r="C23" s="53"/>
      <c r="D23" s="54"/>
      <c r="E23" s="37">
        <v>0</v>
      </c>
      <c r="F23" s="56"/>
    </row>
    <row r="24" spans="1:6" ht="15.75" customHeight="1">
      <c r="A24" s="52" t="s">
        <v>2</v>
      </c>
      <c r="B24" s="53"/>
      <c r="C24" s="53"/>
      <c r="D24" s="54"/>
      <c r="E24" s="37">
        <v>7</v>
      </c>
      <c r="F24" s="56"/>
    </row>
    <row r="25" spans="1:6" ht="15.75" customHeight="1">
      <c r="A25" s="52" t="s">
        <v>3</v>
      </c>
      <c r="B25" s="53"/>
      <c r="C25" s="53"/>
      <c r="D25" s="54"/>
      <c r="E25" s="37">
        <v>7</v>
      </c>
      <c r="F25" s="56"/>
    </row>
    <row r="26" spans="1:6" ht="15.75" customHeight="1">
      <c r="A26" s="52" t="s">
        <v>4</v>
      </c>
      <c r="B26" s="53"/>
      <c r="C26" s="53"/>
      <c r="D26" s="54"/>
      <c r="E26" s="37">
        <v>0</v>
      </c>
      <c r="F26" s="56"/>
    </row>
    <row r="27" spans="1:6" ht="15.75" customHeight="1">
      <c r="A27" s="52" t="s">
        <v>25</v>
      </c>
      <c r="B27" s="53"/>
      <c r="C27" s="53"/>
      <c r="D27" s="53"/>
      <c r="E27" s="18">
        <f>SUM(E22:E26)</f>
        <v>21</v>
      </c>
      <c r="F27" s="15" t="str">
        <f>IF(E27=B18,"*","total does not match hours worked per week from above")</f>
        <v>*</v>
      </c>
    </row>
    <row r="28" spans="1:6" ht="15.75" customHeight="1">
      <c r="A28" s="20" t="s">
        <v>39</v>
      </c>
      <c r="B28" s="21"/>
      <c r="C28" s="22"/>
      <c r="D28" s="23"/>
      <c r="E28" s="18">
        <f>E27/35</f>
        <v>0.6</v>
      </c>
      <c r="F28" s="15"/>
    </row>
    <row r="29" spans="1:6" ht="15.75" customHeight="1">
      <c r="A29" s="26"/>
      <c r="B29" s="26"/>
      <c r="C29" s="34"/>
      <c r="D29" s="26"/>
      <c r="E29" s="35"/>
      <c r="F29" s="15"/>
    </row>
    <row r="30" spans="1:5" ht="15.75" customHeight="1">
      <c r="A30" s="3" t="s">
        <v>35</v>
      </c>
      <c r="E30" s="38"/>
    </row>
    <row r="32" spans="1:5" ht="15.75" customHeight="1">
      <c r="A32" s="3" t="s">
        <v>15</v>
      </c>
      <c r="E32" s="16">
        <v>40</v>
      </c>
    </row>
    <row r="33" spans="1:5" ht="15.75" customHeight="1">
      <c r="A33" s="3" t="s">
        <v>18</v>
      </c>
      <c r="E33" s="18">
        <f>E32*7</f>
        <v>280</v>
      </c>
    </row>
    <row r="34" spans="1:5" ht="15.75" customHeight="1">
      <c r="A34" s="11" t="s">
        <v>31</v>
      </c>
      <c r="E34" s="29"/>
    </row>
    <row r="35" spans="1:5" ht="15.75" customHeight="1">
      <c r="A35" s="28" t="s">
        <v>40</v>
      </c>
      <c r="E35" s="5"/>
    </row>
    <row r="37" spans="1:5" ht="15.75" customHeight="1">
      <c r="A37" s="3" t="s">
        <v>29</v>
      </c>
      <c r="E37" s="39"/>
    </row>
    <row r="39" spans="1:5" ht="15.75" customHeight="1">
      <c r="A39" s="3" t="s">
        <v>7</v>
      </c>
      <c r="C39" s="12">
        <f>MAX(E30,B14)</f>
        <v>45200</v>
      </c>
      <c r="D39" s="12">
        <f>MIN(D14,E37)</f>
        <v>45565</v>
      </c>
      <c r="E39" s="18">
        <f>(D39-C39+1)/366</f>
        <v>1</v>
      </c>
    </row>
    <row r="40" spans="3:5" ht="15.75" customHeight="1">
      <c r="C40" s="12"/>
      <c r="D40" s="12"/>
      <c r="E40" s="13"/>
    </row>
    <row r="41" spans="1:5" ht="15.75" customHeight="1">
      <c r="A41" s="3" t="s">
        <v>22</v>
      </c>
      <c r="B41" s="4"/>
      <c r="C41" s="4"/>
      <c r="D41" s="4"/>
      <c r="E41" s="18">
        <f>CEILING((E33*E28)*E39,0.05)</f>
        <v>168</v>
      </c>
    </row>
    <row r="42" ht="15.75" customHeight="1">
      <c r="D42" s="11"/>
    </row>
    <row r="43" spans="1:6" ht="15.75" customHeight="1">
      <c r="A43" s="3" t="s">
        <v>20</v>
      </c>
      <c r="E43" s="18">
        <f>'Leave Calculation'!E65</f>
        <v>63</v>
      </c>
      <c r="F43" s="3" t="s">
        <v>33</v>
      </c>
    </row>
    <row r="44" ht="15.75" customHeight="1">
      <c r="A44" s="11" t="s">
        <v>30</v>
      </c>
    </row>
    <row r="46" spans="1:6" ht="15.75" customHeight="1">
      <c r="A46" s="9" t="s">
        <v>36</v>
      </c>
      <c r="B46" s="9"/>
      <c r="C46" s="9"/>
      <c r="D46" s="9"/>
      <c r="E46" s="51">
        <f>CEILING(E41-E43,0.05)</f>
        <v>105</v>
      </c>
      <c r="F46" s="3" t="s">
        <v>37</v>
      </c>
    </row>
    <row r="48" spans="1:4" ht="15.75" customHeight="1">
      <c r="A48" s="42" t="s">
        <v>45</v>
      </c>
      <c r="B48" s="43"/>
      <c r="C48" s="44"/>
      <c r="D48" s="44"/>
    </row>
    <row r="49" spans="1:5" ht="45.75" customHeight="1">
      <c r="A49" s="45" t="s">
        <v>12</v>
      </c>
      <c r="B49" s="46" t="s">
        <v>11</v>
      </c>
      <c r="C49" s="47" t="s">
        <v>16</v>
      </c>
      <c r="D49" s="47" t="s">
        <v>38</v>
      </c>
      <c r="E49" s="19" t="s">
        <v>19</v>
      </c>
    </row>
    <row r="50" spans="1:5" ht="15.75" customHeight="1">
      <c r="A50" s="70" t="s">
        <v>13</v>
      </c>
      <c r="B50" s="48">
        <v>45282</v>
      </c>
      <c r="C50" s="71" t="s">
        <v>4</v>
      </c>
      <c r="D50" s="49">
        <f>IF((AND(($E$30&lt;=B50),(B50&lt;=$E$37))),1,(IF(ISBLANK($E$37),(IF($E$30&lt;=B50,1,0)),0)))</f>
        <v>1</v>
      </c>
      <c r="E50" s="40">
        <f>IF(B50&lt;'Leave Calculation'!C$39,0,IF(B50&gt;'Leave Calculation'!D$39,0,VLOOKUP(C50,'Leave Calculation'!A$22:E$26,5,FALSE)))</f>
        <v>0</v>
      </c>
    </row>
    <row r="51" spans="1:5" ht="15.75" customHeight="1">
      <c r="A51" s="70" t="s">
        <v>14</v>
      </c>
      <c r="B51" s="48">
        <v>45285</v>
      </c>
      <c r="C51" s="71" t="s">
        <v>0</v>
      </c>
      <c r="D51" s="49">
        <f aca="true" t="shared" si="0" ref="D51:D63">IF((AND(($E$30&lt;=B51),(B51&lt;=$E$37))),1,(IF(ISBLANK($E$37),(IF($E$30&lt;=B51,1,0)),0)))</f>
        <v>1</v>
      </c>
      <c r="E51" s="40">
        <f>IF(B51&lt;'Leave Calculation'!C$39,0,IF(B51&gt;'Leave Calculation'!D$39,0,VLOOKUP(C51,'Leave Calculation'!A$22:E$26,5,FALSE)))</f>
        <v>7</v>
      </c>
    </row>
    <row r="52" spans="1:5" ht="15.75" customHeight="1">
      <c r="A52" s="70" t="s">
        <v>14</v>
      </c>
      <c r="B52" s="48">
        <v>45286</v>
      </c>
      <c r="C52" s="71" t="s">
        <v>1</v>
      </c>
      <c r="D52" s="49">
        <f t="shared" si="0"/>
        <v>1</v>
      </c>
      <c r="E52" s="40">
        <f>IF(B52&lt;'Leave Calculation'!C$39,0,IF(B52&gt;'Leave Calculation'!D$39,0,VLOOKUP(C52,'Leave Calculation'!A$22:E$26,5,FALSE)))</f>
        <v>0</v>
      </c>
    </row>
    <row r="53" spans="1:5" ht="15.75" customHeight="1">
      <c r="A53" s="70" t="s">
        <v>13</v>
      </c>
      <c r="B53" s="48">
        <v>45287</v>
      </c>
      <c r="C53" s="71" t="s">
        <v>2</v>
      </c>
      <c r="D53" s="49">
        <f t="shared" si="0"/>
        <v>1</v>
      </c>
      <c r="E53" s="40">
        <f>IF(B53&lt;'Leave Calculation'!C$39,0,IF(B53&gt;'Leave Calculation'!D$39,0,VLOOKUP(C53,'Leave Calculation'!A$22:E$26,5,FALSE)))</f>
        <v>7</v>
      </c>
    </row>
    <row r="54" spans="1:5" ht="15.75" customHeight="1">
      <c r="A54" s="70" t="s">
        <v>13</v>
      </c>
      <c r="B54" s="48">
        <v>45288</v>
      </c>
      <c r="C54" s="71" t="s">
        <v>3</v>
      </c>
      <c r="D54" s="49">
        <f t="shared" si="0"/>
        <v>1</v>
      </c>
      <c r="E54" s="40">
        <f>IF(B54&lt;'Leave Calculation'!C$39,0,IF(B54&gt;'Leave Calculation'!D$39,0,VLOOKUP(C54,'Leave Calculation'!A$22:E$26,5,FALSE)))</f>
        <v>7</v>
      </c>
    </row>
    <row r="55" spans="1:5" ht="15.75" customHeight="1">
      <c r="A55" s="70" t="s">
        <v>13</v>
      </c>
      <c r="B55" s="48">
        <v>45289</v>
      </c>
      <c r="C55" s="71" t="s">
        <v>4</v>
      </c>
      <c r="D55" s="49">
        <f t="shared" si="0"/>
        <v>1</v>
      </c>
      <c r="E55" s="40">
        <f>IF(B55&lt;'Leave Calculation'!C$39,0,IF(B55&gt;'Leave Calculation'!D$39,0,VLOOKUP(C55,'Leave Calculation'!A$22:E$26,5,FALSE)))</f>
        <v>0</v>
      </c>
    </row>
    <row r="56" spans="1:5" ht="15.75" customHeight="1">
      <c r="A56" s="70" t="s">
        <v>14</v>
      </c>
      <c r="B56" s="48">
        <v>45292</v>
      </c>
      <c r="C56" s="71" t="s">
        <v>0</v>
      </c>
      <c r="D56" s="49">
        <f t="shared" si="0"/>
        <v>1</v>
      </c>
      <c r="E56" s="40">
        <f>IF(B56&lt;'Leave Calculation'!C$39,0,IF(B56&gt;'Leave Calculation'!D$39,0,VLOOKUP(C56,'Leave Calculation'!A$22:E$26,5,FALSE)))</f>
        <v>7</v>
      </c>
    </row>
    <row r="57" spans="1:5" ht="15.75" customHeight="1">
      <c r="A57" s="70" t="s">
        <v>42</v>
      </c>
      <c r="B57" s="48">
        <v>45379</v>
      </c>
      <c r="C57" s="71" t="s">
        <v>3</v>
      </c>
      <c r="D57" s="49">
        <f t="shared" si="0"/>
        <v>1</v>
      </c>
      <c r="E57" s="40">
        <f>IF(B57&lt;'Leave Calculation'!C$39,0,IF(B57&gt;'Leave Calculation'!D$39,0,VLOOKUP(C57,'Leave Calculation'!A$22:E$26,5,FALSE)))</f>
        <v>7</v>
      </c>
    </row>
    <row r="58" spans="1:5" ht="15.75" customHeight="1">
      <c r="A58" s="70" t="s">
        <v>14</v>
      </c>
      <c r="B58" s="48">
        <v>45380</v>
      </c>
      <c r="C58" s="71" t="s">
        <v>4</v>
      </c>
      <c r="D58" s="49">
        <f t="shared" si="0"/>
        <v>1</v>
      </c>
      <c r="E58" s="40">
        <f>IF(B58&lt;'Leave Calculation'!C$39,0,IF(B58&gt;'Leave Calculation'!D$39,0,VLOOKUP(C58,'Leave Calculation'!A$22:E$26,5,FALSE)))</f>
        <v>0</v>
      </c>
    </row>
    <row r="59" spans="1:5" ht="15.75" customHeight="1">
      <c r="A59" s="70" t="s">
        <v>14</v>
      </c>
      <c r="B59" s="48">
        <v>45383</v>
      </c>
      <c r="C59" s="71" t="s">
        <v>0</v>
      </c>
      <c r="D59" s="49">
        <f t="shared" si="0"/>
        <v>1</v>
      </c>
      <c r="E59" s="40">
        <f>IF(B59&lt;'Leave Calculation'!C$39,0,IF(B59&gt;'Leave Calculation'!D$39,0,VLOOKUP(C59,'Leave Calculation'!A$22:E$26,5,FALSE)))</f>
        <v>7</v>
      </c>
    </row>
    <row r="60" spans="1:5" ht="15.75" customHeight="1">
      <c r="A60" s="70" t="s">
        <v>42</v>
      </c>
      <c r="B60" s="48">
        <v>45384</v>
      </c>
      <c r="C60" s="71" t="s">
        <v>1</v>
      </c>
      <c r="D60" s="49">
        <f t="shared" si="0"/>
        <v>1</v>
      </c>
      <c r="E60" s="40">
        <f>IF(B60&lt;'Leave Calculation'!C$39,0,IF(B60&gt;'Leave Calculation'!D$39,0,VLOOKUP(C60,'Leave Calculation'!A$22:E$26,5,FALSE)))</f>
        <v>0</v>
      </c>
    </row>
    <row r="61" spans="1:5" ht="15.75" customHeight="1">
      <c r="A61" s="70" t="s">
        <v>14</v>
      </c>
      <c r="B61" s="48">
        <v>45418</v>
      </c>
      <c r="C61" s="71" t="s">
        <v>0</v>
      </c>
      <c r="D61" s="49">
        <f t="shared" si="0"/>
        <v>1</v>
      </c>
      <c r="E61" s="40">
        <f>IF(B61&lt;'Leave Calculation'!C$39,0,IF(B61&gt;'Leave Calculation'!D$39,0,VLOOKUP(C61,'Leave Calculation'!A$22:E$26,5,FALSE)))</f>
        <v>7</v>
      </c>
    </row>
    <row r="62" spans="1:5" ht="15.75" customHeight="1">
      <c r="A62" s="70" t="s">
        <v>14</v>
      </c>
      <c r="B62" s="48">
        <v>45439</v>
      </c>
      <c r="C62" s="71" t="s">
        <v>0</v>
      </c>
      <c r="D62" s="49">
        <f t="shared" si="0"/>
        <v>1</v>
      </c>
      <c r="E62" s="40">
        <f>IF(B62&lt;'Leave Calculation'!C$39,0,IF(B62&gt;'Leave Calculation'!D$39,0,VLOOKUP(C62,'Leave Calculation'!A$22:E$26,5,FALSE)))</f>
        <v>7</v>
      </c>
    </row>
    <row r="63" spans="1:5" ht="15.75" customHeight="1">
      <c r="A63" s="70" t="s">
        <v>14</v>
      </c>
      <c r="B63" s="48">
        <v>45530</v>
      </c>
      <c r="C63" s="71" t="s">
        <v>0</v>
      </c>
      <c r="D63" s="49">
        <f t="shared" si="0"/>
        <v>1</v>
      </c>
      <c r="E63" s="40">
        <f>IF(B63&lt;'Leave Calculation'!C$39,0,IF(B63&gt;'Leave Calculation'!D$39,0,VLOOKUP(C63,'Leave Calculation'!A$22:E$26,5,FALSE)))</f>
        <v>7</v>
      </c>
    </row>
    <row r="64" spans="1:5" ht="15.75" customHeight="1">
      <c r="A64" s="44"/>
      <c r="B64" s="44"/>
      <c r="C64" s="44"/>
      <c r="D64" s="44"/>
      <c r="E64" s="40">
        <f>IF(B64&lt;'Leave Calculation'!C$39,0,IF(B64&gt;'Leave Calculation'!D$39,0,VLOOKUP(C64,'Leave Calculation'!A$22:E$26,5,FALSE)))</f>
        <v>0</v>
      </c>
    </row>
    <row r="65" spans="2:5" ht="28.5" customHeight="1">
      <c r="B65" s="50"/>
      <c r="C65" s="50"/>
      <c r="D65" s="50"/>
      <c r="E65" s="41">
        <f>SUM(E50:E64)</f>
        <v>63</v>
      </c>
    </row>
    <row r="66" spans="1:5" ht="15.75" customHeight="1">
      <c r="A66" s="50" t="s">
        <v>46</v>
      </c>
      <c r="B66" s="50"/>
      <c r="C66" s="50"/>
      <c r="D66" s="50"/>
      <c r="E66" s="33"/>
    </row>
    <row r="67" spans="1:5" ht="15.75" customHeight="1">
      <c r="A67" s="50" t="s">
        <v>43</v>
      </c>
      <c r="B67" s="50"/>
      <c r="C67" s="50"/>
      <c r="D67" s="50"/>
      <c r="E67" s="33"/>
    </row>
    <row r="68" spans="1:5" ht="15.75" customHeight="1">
      <c r="A68" s="50" t="s">
        <v>41</v>
      </c>
      <c r="B68" s="33"/>
      <c r="C68" s="33"/>
      <c r="D68" s="33"/>
      <c r="E68" s="33"/>
    </row>
    <row r="69" spans="1:5" ht="15.75" customHeight="1">
      <c r="A69" s="33"/>
      <c r="B69" s="33"/>
      <c r="C69" s="33"/>
      <c r="D69" s="33"/>
      <c r="E69" s="33"/>
    </row>
    <row r="70" ht="15.75" customHeight="1">
      <c r="E70" s="33"/>
    </row>
  </sheetData>
  <sheetProtection password="CC34" sheet="1" selectLockedCells="1"/>
  <mergeCells count="11">
    <mergeCell ref="A8:E8"/>
    <mergeCell ref="A10:E10"/>
    <mergeCell ref="A21:D21"/>
    <mergeCell ref="A22:D22"/>
    <mergeCell ref="B12:E12"/>
    <mergeCell ref="A26:D26"/>
    <mergeCell ref="A27:D27"/>
    <mergeCell ref="F22:F26"/>
    <mergeCell ref="A23:D23"/>
    <mergeCell ref="A24:D24"/>
    <mergeCell ref="A25:D25"/>
  </mergeCells>
  <printOptions/>
  <pageMargins left="0.25" right="0.25" top="0.75" bottom="0.75" header="0.3" footer="0.3"/>
  <pageSetup fitToHeight="1" fitToWidth="1" horizontalDpi="600" verticalDpi="600" orientation="portrait" paperSize="9" scale="64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vrs12h2@reading.ac.uk</cp:lastModifiedBy>
  <cp:lastPrinted>2015-10-01T12:33:04Z</cp:lastPrinted>
  <dcterms:created xsi:type="dcterms:W3CDTF">2007-04-02T10:15:31Z</dcterms:created>
  <dcterms:modified xsi:type="dcterms:W3CDTF">2023-10-13T01:04:59Z</dcterms:modified>
  <cp:category/>
  <cp:version/>
  <cp:contentType/>
  <cp:contentStatus/>
</cp:coreProperties>
</file>